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fileSharing readOnlyRecommended="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gwen/Desktop/"/>
    </mc:Choice>
  </mc:AlternateContent>
  <xr:revisionPtr revIDLastSave="0" documentId="8_{A1622D85-760D-BC40-A447-777D58D4E1AE}" xr6:coauthVersionLast="45" xr6:coauthVersionMax="45" xr10:uidLastSave="{00000000-0000-0000-0000-000000000000}"/>
  <bookViews>
    <workbookView xWindow="25600" yWindow="3640" windowWidth="25600" windowHeight="16060" xr2:uid="{00000000-000D-0000-FFFF-FFFF00000000}"/>
  </bookViews>
  <sheets>
    <sheet name="Calculator" sheetId="6" r:id="rId1"/>
    <sheet name="Calculations" sheetId="5" state="hidden" r:id="rId2"/>
  </sheets>
  <definedNames>
    <definedName name="Diameter">Calculations!$B$5:$B$29</definedName>
    <definedName name="Env">Calculations!$B$6:$M$29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3" i="5" l="1"/>
  <c r="AH10" i="5"/>
  <c r="AH11" i="5"/>
  <c r="AG11" i="5"/>
  <c r="AG15" i="5"/>
  <c r="AF11" i="5"/>
  <c r="AF15" i="5" s="1"/>
  <c r="AG29" i="5"/>
  <c r="AF29" i="5"/>
  <c r="AE29" i="5"/>
  <c r="AI29" i="5" s="1"/>
  <c r="Q7" i="5" s="1"/>
  <c r="L3" i="5" s="1"/>
  <c r="AH7" i="5"/>
  <c r="AG7" i="5"/>
  <c r="AI7" i="5" s="1"/>
  <c r="P7" i="5" s="1"/>
  <c r="E3" i="5" s="1"/>
  <c r="AF7" i="5"/>
  <c r="AE7" i="5"/>
  <c r="AI31" i="5"/>
  <c r="Q8" i="5" s="1"/>
  <c r="M3" i="5" s="1"/>
  <c r="AI25" i="5"/>
  <c r="AJ25" i="5"/>
  <c r="Q6" i="5"/>
  <c r="K3" i="5"/>
  <c r="K19" i="5" s="1"/>
  <c r="AE11" i="5"/>
  <c r="AE15" i="5" s="1"/>
  <c r="AI3" i="5"/>
  <c r="AJ3" i="5"/>
  <c r="J6" i="5"/>
  <c r="K6" i="5" s="1"/>
  <c r="D7" i="6" s="1"/>
  <c r="E7" i="6" s="1"/>
  <c r="J8" i="5"/>
  <c r="K8" i="5" s="1"/>
  <c r="J9" i="5"/>
  <c r="K9" i="5" s="1"/>
  <c r="J10" i="5"/>
  <c r="J11" i="5"/>
  <c r="J13" i="5"/>
  <c r="M13" i="5" s="1"/>
  <c r="J15" i="5"/>
  <c r="M15" i="5" s="1"/>
  <c r="J16" i="5"/>
  <c r="L16" i="5" s="1"/>
  <c r="J17" i="5"/>
  <c r="K17" i="5" s="1"/>
  <c r="J19" i="5"/>
  <c r="J21" i="5"/>
  <c r="J22" i="5"/>
  <c r="J24" i="5"/>
  <c r="M24" i="5" s="1"/>
  <c r="J26" i="5"/>
  <c r="L26" i="5" s="1"/>
  <c r="J28" i="5"/>
  <c r="K28" i="5" s="1"/>
  <c r="J29" i="5"/>
  <c r="K29" i="5" s="1"/>
  <c r="I27" i="5"/>
  <c r="J27" i="5"/>
  <c r="K27" i="5" s="1"/>
  <c r="I25" i="5"/>
  <c r="J25" i="5"/>
  <c r="K25" i="5" s="1"/>
  <c r="I23" i="5"/>
  <c r="J23" i="5"/>
  <c r="I20" i="5"/>
  <c r="J20" i="5"/>
  <c r="M20" i="5" s="1"/>
  <c r="K20" i="5"/>
  <c r="I18" i="5"/>
  <c r="J18" i="5" s="1"/>
  <c r="I14" i="5"/>
  <c r="J14" i="5"/>
  <c r="K14" i="5" s="1"/>
  <c r="I12" i="5"/>
  <c r="J12" i="5"/>
  <c r="L12" i="5" s="1"/>
  <c r="I7" i="5"/>
  <c r="J7" i="5" s="1"/>
  <c r="C12" i="5"/>
  <c r="C18" i="5"/>
  <c r="AH15" i="5"/>
  <c r="K12" i="5"/>
  <c r="K11" i="5"/>
  <c r="K10" i="5"/>
  <c r="K16" i="5"/>
  <c r="K15" i="5"/>
  <c r="P6" i="5"/>
  <c r="D3" i="5" s="1"/>
  <c r="K18" i="5" l="1"/>
  <c r="L18" i="5"/>
  <c r="M18" i="5"/>
  <c r="E13" i="5"/>
  <c r="E7" i="5"/>
  <c r="E22" i="5"/>
  <c r="E9" i="5"/>
  <c r="E19" i="5"/>
  <c r="E20" i="5"/>
  <c r="E12" i="5"/>
  <c r="E23" i="5"/>
  <c r="E31" i="5"/>
  <c r="E24" i="5"/>
  <c r="E25" i="5"/>
  <c r="E29" i="5"/>
  <c r="E28" i="5"/>
  <c r="E15" i="5"/>
  <c r="E21" i="5"/>
  <c r="E26" i="5"/>
  <c r="E18" i="5"/>
  <c r="E16" i="5"/>
  <c r="E30" i="5"/>
  <c r="E8" i="5"/>
  <c r="E11" i="5"/>
  <c r="E27" i="5"/>
  <c r="E17" i="5"/>
  <c r="E10" i="5"/>
  <c r="E14" i="5"/>
  <c r="E6" i="5"/>
  <c r="C8" i="6" s="1"/>
  <c r="M7" i="5"/>
  <c r="K7" i="5"/>
  <c r="L7" i="5"/>
  <c r="L24" i="5"/>
  <c r="L13" i="5"/>
  <c r="L23" i="5"/>
  <c r="L20" i="5"/>
  <c r="L8" i="5"/>
  <c r="L15" i="5"/>
  <c r="L19" i="5"/>
  <c r="L6" i="5"/>
  <c r="D8" i="6" s="1"/>
  <c r="E8" i="6" s="1"/>
  <c r="L17" i="5"/>
  <c r="L28" i="5"/>
  <c r="L11" i="5"/>
  <c r="L21" i="5"/>
  <c r="L27" i="5"/>
  <c r="L22" i="5"/>
  <c r="M19" i="5"/>
  <c r="M21" i="5"/>
  <c r="M27" i="5"/>
  <c r="M26" i="5"/>
  <c r="M25" i="5"/>
  <c r="M29" i="5"/>
  <c r="M11" i="5"/>
  <c r="M14" i="5"/>
  <c r="M10" i="5"/>
  <c r="M22" i="5"/>
  <c r="M23" i="5"/>
  <c r="D23" i="5"/>
  <c r="D25" i="5"/>
  <c r="D10" i="5"/>
  <c r="D24" i="5"/>
  <c r="D12" i="5"/>
  <c r="D18" i="5"/>
  <c r="D31" i="5"/>
  <c r="D11" i="5"/>
  <c r="D20" i="5"/>
  <c r="D28" i="5"/>
  <c r="D8" i="5"/>
  <c r="D15" i="5"/>
  <c r="D14" i="5"/>
  <c r="D29" i="5"/>
  <c r="D26" i="5"/>
  <c r="D30" i="5"/>
  <c r="D16" i="5"/>
  <c r="D6" i="5"/>
  <c r="C7" i="6" s="1"/>
  <c r="D17" i="5"/>
  <c r="D22" i="5"/>
  <c r="D9" i="5"/>
  <c r="D13" i="5"/>
  <c r="D19" i="5"/>
  <c r="D27" i="5"/>
  <c r="D21" i="5"/>
  <c r="D7" i="5"/>
  <c r="L10" i="5"/>
  <c r="AI15" i="5"/>
  <c r="P8" i="5" s="1"/>
  <c r="F3" i="5" s="1"/>
  <c r="K21" i="5"/>
  <c r="K22" i="5"/>
  <c r="M6" i="5"/>
  <c r="D9" i="6" s="1"/>
  <c r="E9" i="6" s="1"/>
  <c r="M17" i="5"/>
  <c r="L25" i="5"/>
  <c r="M28" i="5"/>
  <c r="L14" i="5"/>
  <c r="M8" i="5"/>
  <c r="L29" i="5"/>
  <c r="K26" i="5"/>
  <c r="M12" i="5"/>
  <c r="M9" i="5"/>
  <c r="M16" i="5"/>
  <c r="K24" i="5"/>
  <c r="K13" i="5"/>
  <c r="K23" i="5"/>
  <c r="L9" i="5"/>
  <c r="AI11" i="5"/>
  <c r="F9" i="5" l="1"/>
  <c r="F16" i="5"/>
  <c r="F17" i="5"/>
  <c r="F21" i="5"/>
  <c r="F26" i="5"/>
  <c r="F30" i="5"/>
  <c r="F29" i="5"/>
  <c r="F27" i="5"/>
  <c r="F31" i="5"/>
  <c r="F8" i="5"/>
  <c r="F19" i="5"/>
  <c r="F22" i="5"/>
  <c r="F20" i="5"/>
  <c r="F6" i="5"/>
  <c r="C9" i="6" s="1"/>
  <c r="F10" i="5"/>
  <c r="F28" i="5"/>
  <c r="F18" i="5"/>
  <c r="F14" i="5"/>
  <c r="F24" i="5"/>
  <c r="F11" i="5"/>
  <c r="F13" i="5"/>
  <c r="F23" i="5"/>
  <c r="F25" i="5"/>
  <c r="F15" i="5"/>
  <c r="F12" i="5"/>
  <c r="F7" i="5"/>
</calcChain>
</file>

<file path=xl/sharedStrings.xml><?xml version="1.0" encoding="utf-8"?>
<sst xmlns="http://schemas.openxmlformats.org/spreadsheetml/2006/main" count="73" uniqueCount="47">
  <si>
    <t>CSP</t>
  </si>
  <si>
    <t>Concrete</t>
  </si>
  <si>
    <t>Category</t>
  </si>
  <si>
    <t>Units</t>
  </si>
  <si>
    <t>Production</t>
  </si>
  <si>
    <t>Transport</t>
  </si>
  <si>
    <t>Manufacturing</t>
  </si>
  <si>
    <t>End of Life</t>
  </si>
  <si>
    <t>GWP</t>
  </si>
  <si>
    <r>
      <t>CO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Metric Ton</t>
    </r>
  </si>
  <si>
    <t>Total MT</t>
  </si>
  <si>
    <t>Total KGs</t>
  </si>
  <si>
    <r>
      <t>CO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KGs</t>
    </r>
  </si>
  <si>
    <t>RCP</t>
  </si>
  <si>
    <t>Diameter</t>
  </si>
  <si>
    <t>Profile</t>
  </si>
  <si>
    <t>68 x 13</t>
  </si>
  <si>
    <t>125 x 25</t>
  </si>
  <si>
    <t>Spiral Rib</t>
  </si>
  <si>
    <t>Length</t>
  </si>
  <si>
    <t>KG per Pc</t>
  </si>
  <si>
    <t>B or C</t>
  </si>
  <si>
    <t>KG/Meter</t>
  </si>
  <si>
    <t>Environmental Calculator</t>
  </si>
  <si>
    <t>Fresh Water</t>
  </si>
  <si>
    <t>Cubic Meters</t>
  </si>
  <si>
    <t>Liters</t>
  </si>
  <si>
    <t>Total Primary</t>
  </si>
  <si>
    <t>Energy</t>
  </si>
  <si>
    <t>Megajoules</t>
  </si>
  <si>
    <t>LT/Meter</t>
  </si>
  <si>
    <t>MT/Meter</t>
  </si>
  <si>
    <t>Renewable</t>
  </si>
  <si>
    <t>Non-renew</t>
  </si>
  <si>
    <t>Total</t>
  </si>
  <si>
    <t>Total Primary Energy (MJ/MT)</t>
  </si>
  <si>
    <t>Fresh Water (L/MT)</t>
  </si>
  <si>
    <t>Global Warming Potential (MT/MT)</t>
  </si>
  <si>
    <t>P.E.</t>
  </si>
  <si>
    <t>MJ/Meter</t>
  </si>
  <si>
    <t>Fresh Water (Liters)</t>
  </si>
  <si>
    <t>Total Primary Energy (Megajoules)</t>
  </si>
  <si>
    <t>References: CSPI Environmental Product Declaration - SCS-EPD-05002, CCPPA EPD - ASTM Certified, AGECO LCA of CSP vs RCP (Nov 2020)</t>
  </si>
  <si>
    <t>% Difference</t>
  </si>
  <si>
    <t>Select Pipe Diameter (mm) &gt;</t>
  </si>
  <si>
    <t>Enter Pipe Length (m) &gt;</t>
  </si>
  <si>
    <r>
      <t>Global Warming CO</t>
    </r>
    <r>
      <rPr>
        <vertAlign val="subscript"/>
        <sz val="20"/>
        <color theme="1"/>
        <rFont val="Calibri (Body)"/>
      </rPr>
      <t>2</t>
    </r>
    <r>
      <rPr>
        <sz val="20"/>
        <color theme="1"/>
        <rFont val="Calibri"/>
        <family val="2"/>
        <scheme val="minor"/>
      </rPr>
      <t xml:space="preserve"> (Tonnes)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</si>
</sst>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_-* #,##0.00_-;\-* #,##0.00_-;_-* &quot;-&quot;??_-;_-@_-"/>
    <numFmt numFmtId="165" formatCode="0.0000000"/>
    <numFmt numFmtId="166" formatCode="0.0"/>
    <numFmt numFmtId="167" formatCode="0.000"/>
    <numFmt numFmtId="168" formatCode="0.0000"/>
    <numFmt numFmtId="169" formatCode="0.00000"/>
    <numFmt numFmtId="170" formatCode="0.00000000"/>
    <numFmt numFmtId="171" formatCode="_-* #,##0_-;\-* #,##0_-;_-* &quot;-&quot;??_-;_-@_-"/>
    <numFmt numFmtId="172" formatCode="_-* #,##0.000_-;\-* #,##0.000_-;_-* &quot;-&quot;??_-;_-@_-"/>
    <numFmt numFmtId="173" formatCode="#,##0_ ;\-#,##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name val="Calibri"/>
      <family val="2"/>
      <scheme val="minor"/>
    </font>
    <font>
      <vertAlign val="subscript"/>
      <sz val="20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9B66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/>
    </xf>
    <xf numFmtId="167" fontId="0" fillId="0" borderId="0" xfId="0" applyNumberFormat="1"/>
    <xf numFmtId="0" fontId="2" fillId="0" borderId="0" xfId="0" applyFont="1"/>
    <xf numFmtId="170" fontId="0" fillId="0" borderId="0" xfId="0" applyNumberFormat="1"/>
    <xf numFmtId="165" fontId="2" fillId="0" borderId="0" xfId="0" applyNumberFormat="1" applyFont="1"/>
    <xf numFmtId="169" fontId="2" fillId="0" borderId="0" xfId="0" applyNumberFormat="1" applyFont="1"/>
    <xf numFmtId="3" fontId="0" fillId="0" borderId="0" xfId="0" applyNumberFormat="1"/>
    <xf numFmtId="0" fontId="4" fillId="0" borderId="0" xfId="0" applyFont="1"/>
    <xf numFmtId="170" fontId="5" fillId="0" borderId="0" xfId="0" applyNumberFormat="1" applyFont="1"/>
    <xf numFmtId="1" fontId="4" fillId="0" borderId="0" xfId="0" applyNumberFormat="1" applyFont="1"/>
    <xf numFmtId="167" fontId="5" fillId="0" borderId="0" xfId="0" applyNumberFormat="1" applyFont="1"/>
    <xf numFmtId="0" fontId="5" fillId="0" borderId="0" xfId="0" applyFont="1"/>
    <xf numFmtId="3" fontId="4" fillId="0" borderId="0" xfId="0" applyNumberFormat="1" applyFont="1"/>
    <xf numFmtId="164" fontId="0" fillId="0" borderId="0" xfId="2" applyFont="1"/>
    <xf numFmtId="168" fontId="4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0" fontId="6" fillId="0" borderId="0" xfId="0" applyFont="1"/>
    <xf numFmtId="166" fontId="6" fillId="0" borderId="0" xfId="0" applyNumberFormat="1" applyFont="1"/>
    <xf numFmtId="0" fontId="6" fillId="0" borderId="2" xfId="0" applyFont="1" applyBorder="1"/>
    <xf numFmtId="0" fontId="0" fillId="0" borderId="4" xfId="0" applyBorder="1"/>
    <xf numFmtId="0" fontId="6" fillId="0" borderId="2" xfId="0" applyFont="1" applyBorder="1" applyAlignment="1">
      <alignment horizontal="center"/>
    </xf>
    <xf numFmtId="3" fontId="6" fillId="0" borderId="0" xfId="0" applyNumberFormat="1" applyFont="1"/>
    <xf numFmtId="166" fontId="6" fillId="0" borderId="3" xfId="0" applyNumberFormat="1" applyFont="1" applyBorder="1" applyAlignment="1">
      <alignment horizontal="center"/>
    </xf>
    <xf numFmtId="164" fontId="6" fillId="0" borderId="0" xfId="0" applyNumberFormat="1" applyFont="1"/>
    <xf numFmtId="172" fontId="6" fillId="0" borderId="0" xfId="0" applyNumberFormat="1" applyFont="1"/>
    <xf numFmtId="164" fontId="6" fillId="0" borderId="0" xfId="0" applyNumberFormat="1" applyFont="1" applyBorder="1"/>
    <xf numFmtId="0" fontId="6" fillId="0" borderId="0" xfId="0" applyFont="1" applyBorder="1"/>
    <xf numFmtId="166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8" fontId="6" fillId="0" borderId="0" xfId="0" applyNumberFormat="1" applyFont="1"/>
    <xf numFmtId="0" fontId="0" fillId="0" borderId="0" xfId="0" applyBorder="1"/>
    <xf numFmtId="172" fontId="6" fillId="0" borderId="2" xfId="0" applyNumberFormat="1" applyFont="1" applyBorder="1" applyAlignment="1"/>
    <xf numFmtId="168" fontId="4" fillId="0" borderId="0" xfId="0" applyNumberFormat="1" applyFont="1" applyBorder="1"/>
    <xf numFmtId="2" fontId="2" fillId="0" borderId="0" xfId="0" applyNumberFormat="1" applyFont="1"/>
    <xf numFmtId="1" fontId="2" fillId="0" borderId="0" xfId="0" applyNumberFormat="1" applyFont="1"/>
    <xf numFmtId="171" fontId="2" fillId="0" borderId="0" xfId="2" applyNumberFormat="1" applyFont="1"/>
    <xf numFmtId="3" fontId="2" fillId="0" borderId="0" xfId="2" applyNumberFormat="1" applyFont="1"/>
    <xf numFmtId="171" fontId="6" fillId="0" borderId="0" xfId="0" applyNumberFormat="1" applyFont="1"/>
    <xf numFmtId="0" fontId="6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4" fillId="0" borderId="0" xfId="0" applyNumberFormat="1" applyFont="1" applyBorder="1"/>
    <xf numFmtId="3" fontId="2" fillId="0" borderId="0" xfId="0" applyNumberFormat="1" applyFont="1"/>
    <xf numFmtId="173" fontId="6" fillId="0" borderId="0" xfId="0" applyNumberFormat="1" applyFont="1"/>
    <xf numFmtId="2" fontId="4" fillId="0" borderId="0" xfId="0" applyNumberFormat="1" applyFont="1"/>
    <xf numFmtId="0" fontId="0" fillId="4" borderId="14" xfId="0" applyFill="1" applyBorder="1"/>
    <xf numFmtId="0" fontId="0" fillId="4" borderId="13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5" xfId="0" applyFill="1" applyBorder="1"/>
    <xf numFmtId="4" fontId="8" fillId="4" borderId="2" xfId="0" applyNumberFormat="1" applyFont="1" applyFill="1" applyBorder="1" applyAlignment="1" applyProtection="1">
      <alignment horizontal="center"/>
      <protection hidden="1"/>
    </xf>
    <xf numFmtId="4" fontId="8" fillId="3" borderId="2" xfId="0" applyNumberFormat="1" applyFont="1" applyFill="1" applyBorder="1" applyAlignment="1" applyProtection="1">
      <alignment horizontal="center"/>
      <protection hidden="1"/>
    </xf>
    <xf numFmtId="3" fontId="8" fillId="4" borderId="2" xfId="0" applyNumberFormat="1" applyFont="1" applyFill="1" applyBorder="1" applyAlignment="1" applyProtection="1">
      <alignment horizontal="center"/>
      <protection hidden="1"/>
    </xf>
    <xf numFmtId="3" fontId="8" fillId="3" borderId="2" xfId="0" applyNumberFormat="1" applyFont="1" applyFill="1" applyBorder="1" applyAlignment="1" applyProtection="1">
      <alignment horizontal="center"/>
      <protection hidden="1"/>
    </xf>
    <xf numFmtId="3" fontId="8" fillId="4" borderId="16" xfId="0" applyNumberFormat="1" applyFont="1" applyFill="1" applyBorder="1" applyAlignment="1" applyProtection="1">
      <alignment horizontal="center"/>
      <protection hidden="1"/>
    </xf>
    <xf numFmtId="3" fontId="8" fillId="3" borderId="16" xfId="0" applyNumberFormat="1" applyFont="1" applyFill="1" applyBorder="1" applyAlignment="1" applyProtection="1">
      <alignment horizontal="center"/>
      <protection hidden="1"/>
    </xf>
    <xf numFmtId="9" fontId="10" fillId="2" borderId="2" xfId="1" applyFont="1" applyFill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locked="0"/>
    </xf>
    <xf numFmtId="3" fontId="9" fillId="5" borderId="2" xfId="0" applyNumberFormat="1" applyFont="1" applyFill="1" applyBorder="1" applyAlignment="1" applyProtection="1">
      <alignment horizontal="center"/>
      <protection locked="0"/>
    </xf>
    <xf numFmtId="0" fontId="0" fillId="6" borderId="0" xfId="0" applyFill="1"/>
    <xf numFmtId="0" fontId="7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7" fillId="2" borderId="2" xfId="0" applyFont="1" applyFill="1" applyBorder="1" applyProtection="1"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2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6" fillId="0" borderId="6" xfId="0" applyFont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69B668"/>
      <color rgb="FF4AAF33"/>
      <color rgb="FF0978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1</xdr:row>
      <xdr:rowOff>0</xdr:rowOff>
    </xdr:from>
    <xdr:to>
      <xdr:col>5</xdr:col>
      <xdr:colOff>12700</xdr:colOff>
      <xdr:row>2</xdr:row>
      <xdr:rowOff>25400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9D326A-A871-B640-ADCA-A8462FA29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4" y="190500"/>
          <a:ext cx="10918826" cy="1295400"/>
        </a:xfrm>
        <a:prstGeom prst="rect">
          <a:avLst/>
        </a:prstGeom>
      </xdr:spPr>
    </xdr:pic>
    <xdr:clientData/>
  </xdr:twoCellAnchor>
  <xdr:oneCellAnchor>
    <xdr:from>
      <xdr:col>1</xdr:col>
      <xdr:colOff>63500</xdr:colOff>
      <xdr:row>1</xdr:row>
      <xdr:rowOff>342900</xdr:rowOff>
    </xdr:from>
    <xdr:ext cx="10744200" cy="781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0C82478-8214-1C49-9DC9-4E5F98A45E8A}"/>
            </a:ext>
          </a:extLst>
        </xdr:cNvPr>
        <xdr:cNvSpPr txBox="1"/>
      </xdr:nvSpPr>
      <xdr:spPr>
        <a:xfrm>
          <a:off x="266700" y="533400"/>
          <a:ext cx="10744200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600" b="1">
              <a:solidFill>
                <a:schemeClr val="bg1"/>
              </a:solidFill>
            </a:rPr>
            <a:t>CARBON FOOTPRINT CALCULATOR</a:t>
          </a:r>
        </a:p>
        <a:p>
          <a:pPr algn="ctr"/>
          <a:r>
            <a:rPr lang="en-US" sz="2800" b="1">
              <a:solidFill>
                <a:schemeClr val="bg1"/>
              </a:solidFill>
            </a:rPr>
            <a:t>Corrugated Steel Pipe (CSP) vs Reinforced Concrete Pipe (RCP)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27</xdr:col>
      <xdr:colOff>342248</xdr:colOff>
      <xdr:row>19</xdr:row>
      <xdr:rowOff>190023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6FD7B-D0FC-410B-AB3A-2578A46A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0700" y="0"/>
          <a:ext cx="5219048" cy="3819048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23</xdr:row>
      <xdr:rowOff>0</xdr:rowOff>
    </xdr:from>
    <xdr:to>
      <xdr:col>27</xdr:col>
      <xdr:colOff>389868</xdr:colOff>
      <xdr:row>50</xdr:row>
      <xdr:rowOff>66023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6C7C67-F890-4FD0-8162-BDEF31DD7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40225" y="4210050"/>
          <a:ext cx="5257143" cy="5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showGridLines="0" showZeros="0" tabSelected="1" workbookViewId="0">
      <selection activeCell="C4" sqref="C4"/>
    </sheetView>
  </sheetViews>
  <sheetFormatPr baseColWidth="10" defaultColWidth="8.83203125" defaultRowHeight="15"/>
  <cols>
    <col min="1" max="1" width="2.6640625" style="67" customWidth="1"/>
    <col min="2" max="2" width="65.83203125" style="67" customWidth="1"/>
    <col min="3" max="5" width="25.6640625" style="67" customWidth="1"/>
    <col min="6" max="6" width="2.6640625" style="67" customWidth="1"/>
    <col min="7" max="16384" width="8.83203125" style="67"/>
  </cols>
  <sheetData>
    <row r="1" spans="1:6" ht="15" customHeight="1">
      <c r="A1" s="53"/>
      <c r="B1" s="54"/>
      <c r="C1" s="54"/>
      <c r="D1" s="54"/>
      <c r="E1" s="54"/>
      <c r="F1" s="55"/>
    </row>
    <row r="2" spans="1:6" ht="100" customHeight="1">
      <c r="A2" s="52"/>
      <c r="B2" s="78" t="s">
        <v>23</v>
      </c>
      <c r="C2" s="78"/>
      <c r="D2" s="78"/>
      <c r="E2" s="78"/>
      <c r="F2" s="56"/>
    </row>
    <row r="3" spans="1:6" ht="26">
      <c r="A3" s="52"/>
      <c r="B3" s="68"/>
      <c r="C3" s="68"/>
      <c r="D3" s="68"/>
      <c r="E3" s="69"/>
      <c r="F3" s="56"/>
    </row>
    <row r="4" spans="1:6" ht="26">
      <c r="A4" s="52"/>
      <c r="B4" s="70" t="s">
        <v>44</v>
      </c>
      <c r="C4" s="65">
        <v>300</v>
      </c>
      <c r="D4" s="68"/>
      <c r="E4" s="69"/>
      <c r="F4" s="56"/>
    </row>
    <row r="5" spans="1:6" ht="26">
      <c r="A5" s="52"/>
      <c r="B5" s="70" t="s">
        <v>45</v>
      </c>
      <c r="C5" s="66"/>
      <c r="D5" s="68"/>
      <c r="E5" s="69"/>
      <c r="F5" s="56"/>
    </row>
    <row r="6" spans="1:6" ht="26">
      <c r="A6" s="52"/>
      <c r="B6" s="68"/>
      <c r="C6" s="71" t="s">
        <v>0</v>
      </c>
      <c r="D6" s="71" t="s">
        <v>13</v>
      </c>
      <c r="E6" s="71" t="s">
        <v>43</v>
      </c>
      <c r="F6" s="56"/>
    </row>
    <row r="7" spans="1:6" ht="30">
      <c r="A7" s="52"/>
      <c r="B7" s="72" t="s">
        <v>46</v>
      </c>
      <c r="C7" s="58">
        <f>IF($C$4=0,0,VLOOKUP($C$4,Env,3)*$C$5)</f>
        <v>0</v>
      </c>
      <c r="D7" s="59">
        <f>IF($C$4=0,0,VLOOKUP($C$4,Env,10)*$C$5)</f>
        <v>0</v>
      </c>
      <c r="E7" s="64">
        <f>IF(D7=0,0,(C7/D7)-1)</f>
        <v>0</v>
      </c>
      <c r="F7" s="56"/>
    </row>
    <row r="8" spans="1:6" ht="26">
      <c r="A8" s="52"/>
      <c r="B8" s="72" t="s">
        <v>40</v>
      </c>
      <c r="C8" s="60">
        <f>IF($C$4=0,0,VLOOKUP($C$4,Env,4)*$C$5)</f>
        <v>0</v>
      </c>
      <c r="D8" s="61">
        <f>IF($C$4=0,0,VLOOKUP($C$4,Env,11)*$C$5)</f>
        <v>0</v>
      </c>
      <c r="E8" s="64">
        <f t="shared" ref="E8:E9" si="0">IF(D8=0,0,(C8/D8)-1)</f>
        <v>0</v>
      </c>
      <c r="F8" s="56"/>
    </row>
    <row r="9" spans="1:6" ht="26">
      <c r="A9" s="52"/>
      <c r="B9" s="73" t="s">
        <v>41</v>
      </c>
      <c r="C9" s="62">
        <f>IF($C$4=0,0,VLOOKUP($C$4,Env,5)*$C$5)</f>
        <v>0</v>
      </c>
      <c r="D9" s="63">
        <f>IF($C$4=0,0,VLOOKUP($C$4,Env,12)*$C$5)</f>
        <v>0</v>
      </c>
      <c r="E9" s="64">
        <f t="shared" si="0"/>
        <v>0</v>
      </c>
      <c r="F9" s="56"/>
    </row>
    <row r="10" spans="1:6" ht="26">
      <c r="A10" s="52"/>
      <c r="B10" s="74"/>
      <c r="C10" s="75"/>
      <c r="D10" s="75"/>
      <c r="E10" s="76"/>
      <c r="F10" s="56"/>
    </row>
    <row r="11" spans="1:6" ht="26">
      <c r="A11" s="52"/>
      <c r="B11" s="77" t="s">
        <v>42</v>
      </c>
      <c r="C11" s="75"/>
      <c r="D11" s="75"/>
      <c r="E11" s="76"/>
      <c r="F11" s="56"/>
    </row>
    <row r="12" spans="1:6" ht="26">
      <c r="A12" s="52"/>
      <c r="B12" s="74"/>
      <c r="C12" s="75"/>
      <c r="D12" s="75"/>
      <c r="E12" s="76"/>
      <c r="F12" s="56"/>
    </row>
    <row r="13" spans="1:6" ht="16" thickBot="1">
      <c r="A13" s="51"/>
      <c r="B13" s="50"/>
      <c r="C13" s="50"/>
      <c r="D13" s="50"/>
      <c r="E13" s="50"/>
      <c r="F13" s="57"/>
    </row>
  </sheetData>
  <mergeCells count="1">
    <mergeCell ref="B2:E2"/>
  </mergeCells>
  <dataValidations count="1">
    <dataValidation type="list" allowBlank="1" showInputMessage="1" showErrorMessage="1" sqref="C4" xr:uid="{00000000-0002-0000-0000-000000000000}">
      <formula1>"300, 400, 450, 525, 600, 750, 800, 900, 1000, 1050, 1200"</formula1>
    </dataValidation>
  </dataValidation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8"/>
  <sheetViews>
    <sheetView workbookViewId="0">
      <selection sqref="A1:F1"/>
    </sheetView>
  </sheetViews>
  <sheetFormatPr baseColWidth="10" defaultColWidth="8.83203125" defaultRowHeight="15"/>
  <cols>
    <col min="5" max="5" width="10.5" bestFit="1" customWidth="1"/>
    <col min="12" max="12" width="10.5" bestFit="1" customWidth="1"/>
    <col min="15" max="15" width="29.33203125" customWidth="1"/>
    <col min="16" max="16" width="12.5" customWidth="1"/>
    <col min="17" max="17" width="11.6640625" bestFit="1" customWidth="1"/>
    <col min="29" max="31" width="12.6640625" customWidth="1"/>
    <col min="32" max="32" width="16.5" customWidth="1"/>
    <col min="33" max="36" width="12.6640625" customWidth="1"/>
  </cols>
  <sheetData>
    <row r="1" spans="1:36" ht="16" thickBot="1">
      <c r="A1" s="79" t="s">
        <v>0</v>
      </c>
      <c r="B1" s="80"/>
      <c r="C1" s="80"/>
      <c r="D1" s="80"/>
      <c r="E1" s="80"/>
      <c r="F1" s="80"/>
      <c r="G1" s="27"/>
      <c r="H1" s="79" t="s">
        <v>1</v>
      </c>
      <c r="I1" s="80"/>
      <c r="J1" s="80"/>
      <c r="K1" s="80"/>
      <c r="L1" s="80"/>
      <c r="M1" s="80"/>
      <c r="N1" s="18"/>
      <c r="O1" s="18"/>
      <c r="P1" s="18"/>
      <c r="Q1" s="18"/>
      <c r="R1" s="18"/>
      <c r="S1" s="18"/>
      <c r="T1" s="18"/>
      <c r="U1" s="18"/>
      <c r="AC1" s="1" t="s">
        <v>2</v>
      </c>
      <c r="AD1" s="1" t="s">
        <v>3</v>
      </c>
      <c r="AE1" s="1" t="s">
        <v>4</v>
      </c>
      <c r="AF1" s="1" t="s">
        <v>5</v>
      </c>
      <c r="AG1" s="1" t="s">
        <v>6</v>
      </c>
      <c r="AH1" s="1" t="s">
        <v>7</v>
      </c>
      <c r="AI1" s="1" t="s">
        <v>10</v>
      </c>
      <c r="AJ1" s="1" t="s">
        <v>11</v>
      </c>
    </row>
    <row r="2" spans="1:36">
      <c r="B2" s="33"/>
      <c r="C2" s="30"/>
      <c r="D2" s="45" t="s">
        <v>8</v>
      </c>
      <c r="E2" s="41" t="s">
        <v>24</v>
      </c>
      <c r="F2" s="22" t="s">
        <v>38</v>
      </c>
      <c r="G2" s="27"/>
      <c r="H2" s="30"/>
      <c r="I2" s="30"/>
      <c r="J2" s="31"/>
      <c r="K2" s="22" t="s">
        <v>8</v>
      </c>
      <c r="L2" s="22" t="s">
        <v>24</v>
      </c>
      <c r="M2" s="22" t="s">
        <v>38</v>
      </c>
      <c r="N2" s="18"/>
      <c r="O2" s="18"/>
      <c r="P2" s="18"/>
      <c r="Q2" s="18"/>
      <c r="R2" s="18"/>
      <c r="S2" s="18"/>
      <c r="T2" s="18"/>
      <c r="U2" s="18"/>
      <c r="AC2" s="42"/>
      <c r="AD2" s="42"/>
      <c r="AE2" s="42"/>
      <c r="AF2" s="42"/>
      <c r="AG2" s="42"/>
      <c r="AH2" s="42"/>
      <c r="AI2" s="42"/>
      <c r="AJ2" s="42"/>
    </row>
    <row r="3" spans="1:36">
      <c r="B3" s="21"/>
      <c r="C3" s="22" t="s">
        <v>22</v>
      </c>
      <c r="D3" s="43">
        <f>P6</f>
        <v>1.5012999999999999</v>
      </c>
      <c r="E3" s="44">
        <f>P7</f>
        <v>9738.7999999999993</v>
      </c>
      <c r="F3" s="44">
        <f>P8</f>
        <v>20683.10999999733</v>
      </c>
      <c r="G3" s="25"/>
      <c r="J3" s="22" t="s">
        <v>22</v>
      </c>
      <c r="K3" s="34">
        <f>Q6</f>
        <v>0.221</v>
      </c>
      <c r="L3" s="44">
        <f>Q7</f>
        <v>1786</v>
      </c>
      <c r="M3" s="44">
        <f>Q8</f>
        <v>2915</v>
      </c>
      <c r="N3" s="18"/>
      <c r="O3" s="18"/>
      <c r="R3" s="18"/>
      <c r="S3" s="18"/>
      <c r="T3" s="18"/>
      <c r="U3" s="18"/>
      <c r="AC3" t="s">
        <v>8</v>
      </c>
      <c r="AD3" t="s">
        <v>9</v>
      </c>
      <c r="AE3" s="8">
        <v>2.21</v>
      </c>
      <c r="AF3" s="8">
        <v>2.0199999999999999E-2</v>
      </c>
      <c r="AG3" s="8">
        <v>3.1099999999999999E-2</v>
      </c>
      <c r="AH3" s="8">
        <v>-0.76</v>
      </c>
      <c r="AI3" s="3">
        <f>SUM(AE3:AH3)</f>
        <v>1.5012999999999999</v>
      </c>
      <c r="AJ3" s="14">
        <f>AI3*1000</f>
        <v>1501.3</v>
      </c>
    </row>
    <row r="4" spans="1:36">
      <c r="A4" s="20" t="s">
        <v>15</v>
      </c>
      <c r="B4" s="20" t="s">
        <v>14</v>
      </c>
      <c r="C4" s="24">
        <v>2</v>
      </c>
      <c r="D4" s="24" t="s">
        <v>31</v>
      </c>
      <c r="E4" s="24" t="s">
        <v>30</v>
      </c>
      <c r="F4" s="24" t="s">
        <v>39</v>
      </c>
      <c r="G4" s="25"/>
      <c r="H4" s="22" t="s">
        <v>19</v>
      </c>
      <c r="I4" s="22" t="s">
        <v>20</v>
      </c>
      <c r="J4" s="22" t="s">
        <v>21</v>
      </c>
      <c r="K4" s="24" t="s">
        <v>31</v>
      </c>
      <c r="L4" s="24" t="s">
        <v>30</v>
      </c>
      <c r="M4" s="24" t="s">
        <v>39</v>
      </c>
      <c r="N4" s="18"/>
      <c r="O4" s="18"/>
      <c r="P4" s="22" t="s">
        <v>0</v>
      </c>
      <c r="Q4" s="22" t="s">
        <v>13</v>
      </c>
      <c r="R4" s="18"/>
      <c r="S4" s="18"/>
      <c r="T4" s="18"/>
      <c r="U4" s="18"/>
    </row>
    <row r="5" spans="1:36">
      <c r="A5" s="28"/>
      <c r="B5" s="28">
        <v>0</v>
      </c>
      <c r="C5" s="29"/>
      <c r="D5" s="29"/>
      <c r="E5" s="29"/>
      <c r="F5" s="29"/>
      <c r="G5" s="25"/>
      <c r="H5" s="30"/>
      <c r="I5" s="30"/>
      <c r="J5" s="30"/>
      <c r="K5" s="29"/>
      <c r="L5" s="29"/>
      <c r="M5" s="29"/>
      <c r="N5" s="18"/>
      <c r="O5" s="18"/>
      <c r="P5" s="30"/>
      <c r="Q5" s="30"/>
      <c r="R5" s="18"/>
      <c r="S5" s="18"/>
      <c r="T5" s="18"/>
      <c r="U5" s="18"/>
      <c r="AC5" t="s">
        <v>24</v>
      </c>
      <c r="AD5" t="s">
        <v>25</v>
      </c>
      <c r="AE5" s="35">
        <v>14.9</v>
      </c>
      <c r="AF5" s="15">
        <v>0</v>
      </c>
      <c r="AG5" s="15">
        <v>4.8800000000000003E-2</v>
      </c>
      <c r="AH5" s="15">
        <v>-5.21</v>
      </c>
    </row>
    <row r="6" spans="1:36">
      <c r="A6" s="18" t="s">
        <v>16</v>
      </c>
      <c r="B6" s="18">
        <v>300</v>
      </c>
      <c r="C6" s="18">
        <v>18</v>
      </c>
      <c r="D6" s="26">
        <f>$C6/1000*$D$3</f>
        <v>2.7023399999999996E-2</v>
      </c>
      <c r="E6" s="40">
        <f>$C6/1000*$E$3</f>
        <v>175.29839999999999</v>
      </c>
      <c r="F6" s="40">
        <f>$C6/1000*$F$3</f>
        <v>372.2959799999519</v>
      </c>
      <c r="G6" s="25"/>
      <c r="H6" s="18">
        <v>2.44</v>
      </c>
      <c r="I6" s="23">
        <v>515</v>
      </c>
      <c r="J6" s="19">
        <f t="shared" ref="J6:J29" si="0">I6/H6</f>
        <v>211.0655737704918</v>
      </c>
      <c r="K6" s="26">
        <f>$J6/1000*$K$3</f>
        <v>4.6645491803278684E-2</v>
      </c>
      <c r="L6" s="48">
        <f>$J6/1000*$L$3</f>
        <v>376.96311475409834</v>
      </c>
      <c r="M6" s="48">
        <f>$J6/1000*$M$3</f>
        <v>615.25614754098353</v>
      </c>
      <c r="N6" s="18"/>
      <c r="O6" s="18" t="s">
        <v>37</v>
      </c>
      <c r="P6" s="25">
        <f>AI3</f>
        <v>1.5012999999999999</v>
      </c>
      <c r="Q6" s="18">
        <f>AJ25</f>
        <v>0.221</v>
      </c>
      <c r="R6" s="18"/>
      <c r="S6" s="18"/>
      <c r="T6" s="18"/>
      <c r="U6" s="18"/>
      <c r="AE6" s="8"/>
      <c r="AF6" s="10"/>
      <c r="AG6" s="10"/>
      <c r="AH6" s="10"/>
    </row>
    <row r="7" spans="1:36">
      <c r="A7" s="18"/>
      <c r="B7" s="18">
        <v>400</v>
      </c>
      <c r="C7" s="18">
        <v>24</v>
      </c>
      <c r="D7" s="26">
        <f t="shared" ref="D7:D31" si="1">$C7/1000*$D$3</f>
        <v>3.6031199999999999E-2</v>
      </c>
      <c r="E7" s="40">
        <f t="shared" ref="E7:E31" si="2">$C7/1000*$E$3</f>
        <v>233.7312</v>
      </c>
      <c r="F7" s="40">
        <f t="shared" ref="F7:F31" si="3">$C7/1000*$F$3</f>
        <v>496.39463999993592</v>
      </c>
      <c r="G7" s="25"/>
      <c r="H7" s="18">
        <v>2.44</v>
      </c>
      <c r="I7" s="23">
        <f>515+150</f>
        <v>665</v>
      </c>
      <c r="J7" s="19">
        <f t="shared" si="0"/>
        <v>272.5409836065574</v>
      </c>
      <c r="K7" s="26">
        <f t="shared" ref="K7:K29" si="4">$J7/1000*$K$3</f>
        <v>6.0231557377049195E-2</v>
      </c>
      <c r="L7" s="48">
        <f t="shared" ref="L7:L29" si="5">$J7/1000*$L$3</f>
        <v>486.75819672131155</v>
      </c>
      <c r="M7" s="48">
        <f t="shared" ref="M7:M29" si="6">$J7/1000*$M$3</f>
        <v>794.45696721311492</v>
      </c>
      <c r="N7" s="18"/>
      <c r="O7" s="18" t="s">
        <v>36</v>
      </c>
      <c r="P7" s="23">
        <f>AI7</f>
        <v>9738.7999999999993</v>
      </c>
      <c r="Q7" s="23">
        <f>AI29</f>
        <v>1786</v>
      </c>
      <c r="R7" s="18"/>
      <c r="S7" s="18"/>
      <c r="T7" s="18"/>
      <c r="U7" s="18"/>
      <c r="AD7" t="s">
        <v>26</v>
      </c>
      <c r="AE7" s="39">
        <f>AE5*1000</f>
        <v>14900</v>
      </c>
      <c r="AF7" s="39">
        <f t="shared" ref="AF7:AH7" si="7">AF5*1000</f>
        <v>0</v>
      </c>
      <c r="AG7" s="39">
        <f t="shared" si="7"/>
        <v>48.800000000000004</v>
      </c>
      <c r="AH7" s="39">
        <f t="shared" si="7"/>
        <v>-5210</v>
      </c>
      <c r="AI7" s="38">
        <f>SUM(AE7:AH7)</f>
        <v>9738.7999999999993</v>
      </c>
      <c r="AJ7" s="4"/>
    </row>
    <row r="8" spans="1:36">
      <c r="A8" s="18" t="s">
        <v>18</v>
      </c>
      <c r="B8" s="18">
        <v>450</v>
      </c>
      <c r="C8" s="18">
        <v>26.8</v>
      </c>
      <c r="D8" s="26">
        <f t="shared" si="1"/>
        <v>4.0234840000000001E-2</v>
      </c>
      <c r="E8" s="40">
        <f t="shared" si="2"/>
        <v>260.99984000000001</v>
      </c>
      <c r="F8" s="40">
        <f t="shared" si="3"/>
        <v>554.30734799992842</v>
      </c>
      <c r="G8" s="25"/>
      <c r="H8" s="18">
        <v>2.44</v>
      </c>
      <c r="I8" s="23">
        <v>740</v>
      </c>
      <c r="J8" s="19">
        <f t="shared" si="0"/>
        <v>303.27868852459017</v>
      </c>
      <c r="K8" s="26">
        <f t="shared" si="4"/>
        <v>6.702459016393443E-2</v>
      </c>
      <c r="L8" s="48">
        <f t="shared" si="5"/>
        <v>541.65573770491801</v>
      </c>
      <c r="M8" s="48">
        <f t="shared" si="6"/>
        <v>884.05737704918033</v>
      </c>
      <c r="N8" s="18"/>
      <c r="O8" s="23" t="s">
        <v>35</v>
      </c>
      <c r="P8" s="23">
        <f>AI15</f>
        <v>20683.10999999733</v>
      </c>
      <c r="Q8" s="23">
        <f>AI31</f>
        <v>2915</v>
      </c>
      <c r="R8" s="18"/>
      <c r="S8" s="18"/>
      <c r="T8" s="18"/>
      <c r="U8" s="18"/>
    </row>
    <row r="9" spans="1:36">
      <c r="A9" s="18"/>
      <c r="B9" s="18">
        <v>525</v>
      </c>
      <c r="C9" s="18">
        <v>31.3</v>
      </c>
      <c r="D9" s="26">
        <f t="shared" si="1"/>
        <v>4.6990689999999995E-2</v>
      </c>
      <c r="E9" s="40">
        <f t="shared" si="2"/>
        <v>304.82443999999998</v>
      </c>
      <c r="F9" s="40">
        <f t="shared" si="3"/>
        <v>647.38134299991646</v>
      </c>
      <c r="G9" s="25"/>
      <c r="H9" s="18">
        <v>2.44</v>
      </c>
      <c r="I9" s="23">
        <v>1100</v>
      </c>
      <c r="J9" s="19">
        <f t="shared" si="0"/>
        <v>450.81967213114757</v>
      </c>
      <c r="K9" s="26">
        <f t="shared" si="4"/>
        <v>9.9631147540983622E-2</v>
      </c>
      <c r="L9" s="48">
        <f t="shared" si="5"/>
        <v>805.16393442622962</v>
      </c>
      <c r="M9" s="48">
        <f t="shared" si="6"/>
        <v>1314.1393442622953</v>
      </c>
      <c r="N9" s="18"/>
      <c r="O9" s="23"/>
      <c r="P9" s="18"/>
      <c r="Q9" s="32"/>
      <c r="R9" s="18"/>
      <c r="S9" s="18"/>
      <c r="T9" s="18"/>
      <c r="U9" s="18"/>
      <c r="AC9" t="s">
        <v>27</v>
      </c>
      <c r="AD9" t="s">
        <v>32</v>
      </c>
      <c r="AE9" s="13">
        <v>1080</v>
      </c>
      <c r="AF9" s="49">
        <v>7.11</v>
      </c>
      <c r="AG9" s="10">
        <v>332</v>
      </c>
      <c r="AH9" s="12">
        <v>-2.67</v>
      </c>
    </row>
    <row r="10" spans="1:36">
      <c r="A10" s="18"/>
      <c r="B10" s="18">
        <v>600</v>
      </c>
      <c r="C10" s="18">
        <v>35.799999999999997</v>
      </c>
      <c r="D10" s="26">
        <f t="shared" si="1"/>
        <v>5.3746539999999995E-2</v>
      </c>
      <c r="E10" s="40">
        <f t="shared" si="2"/>
        <v>348.64903999999996</v>
      </c>
      <c r="F10" s="40">
        <f t="shared" si="3"/>
        <v>740.45533799990437</v>
      </c>
      <c r="G10" s="25"/>
      <c r="H10" s="18">
        <v>2.44</v>
      </c>
      <c r="I10" s="23">
        <v>1335</v>
      </c>
      <c r="J10" s="19">
        <f t="shared" si="0"/>
        <v>547.13114754098365</v>
      </c>
      <c r="K10" s="26">
        <f t="shared" si="4"/>
        <v>0.12091598360655739</v>
      </c>
      <c r="L10" s="48">
        <f t="shared" si="5"/>
        <v>977.17622950819691</v>
      </c>
      <c r="M10" s="48">
        <f t="shared" si="6"/>
        <v>1594.8872950819675</v>
      </c>
      <c r="N10" s="18"/>
      <c r="O10" s="23"/>
      <c r="P10" s="18"/>
      <c r="Q10" s="19"/>
      <c r="R10" s="18"/>
      <c r="S10" s="18"/>
      <c r="T10" s="18"/>
      <c r="U10" s="18"/>
      <c r="AC10" t="s">
        <v>28</v>
      </c>
      <c r="AE10" s="8"/>
      <c r="AF10" s="10"/>
      <c r="AG10" s="10"/>
      <c r="AH10" s="10">
        <f>10*10*10*10*10*10*10*10*10</f>
        <v>1000000000</v>
      </c>
    </row>
    <row r="11" spans="1:36">
      <c r="A11" s="18"/>
      <c r="B11" s="18">
        <v>750</v>
      </c>
      <c r="C11" s="18">
        <v>44.7</v>
      </c>
      <c r="D11" s="26">
        <f t="shared" si="1"/>
        <v>6.7108109999999999E-2</v>
      </c>
      <c r="E11" s="40">
        <f t="shared" si="2"/>
        <v>435.32436000000001</v>
      </c>
      <c r="F11" s="40">
        <f t="shared" si="3"/>
        <v>924.53501699988078</v>
      </c>
      <c r="G11" s="25"/>
      <c r="H11" s="18">
        <v>2.44</v>
      </c>
      <c r="I11" s="23">
        <v>1900</v>
      </c>
      <c r="J11" s="19">
        <f t="shared" si="0"/>
        <v>778.68852459016398</v>
      </c>
      <c r="K11" s="26">
        <f t="shared" si="4"/>
        <v>0.17209016393442625</v>
      </c>
      <c r="L11" s="48">
        <f t="shared" si="5"/>
        <v>1390.7377049180329</v>
      </c>
      <c r="M11" s="48">
        <f t="shared" si="6"/>
        <v>2269.877049180328</v>
      </c>
      <c r="N11" s="18"/>
      <c r="O11" s="23"/>
      <c r="P11" s="23"/>
      <c r="Q11" s="23"/>
      <c r="R11" s="18"/>
      <c r="S11" s="18"/>
      <c r="T11" s="18"/>
      <c r="U11" s="18"/>
      <c r="AD11" t="s">
        <v>29</v>
      </c>
      <c r="AE11" s="47">
        <f>AE9</f>
        <v>1080</v>
      </c>
      <c r="AF11" s="36">
        <f>AF9</f>
        <v>7.11</v>
      </c>
      <c r="AG11" s="37">
        <f>AG9</f>
        <v>332</v>
      </c>
      <c r="AH11" s="5">
        <f>AH9/AH10</f>
        <v>-2.6700000000000001E-9</v>
      </c>
      <c r="AI11" s="47">
        <f>SUM(AE11:AH11)</f>
        <v>1419.1099999973299</v>
      </c>
      <c r="AJ11" s="2"/>
    </row>
    <row r="12" spans="1:36">
      <c r="A12" s="18"/>
      <c r="B12" s="18">
        <v>800</v>
      </c>
      <c r="C12" s="19">
        <f>44.7+2.97</f>
        <v>47.67</v>
      </c>
      <c r="D12" s="26">
        <f t="shared" si="1"/>
        <v>7.1566970999999993E-2</v>
      </c>
      <c r="E12" s="40">
        <f t="shared" si="2"/>
        <v>464.24859600000002</v>
      </c>
      <c r="F12" s="40">
        <f t="shared" si="3"/>
        <v>985.96385369987286</v>
      </c>
      <c r="G12" s="25"/>
      <c r="H12" s="18">
        <v>2.44</v>
      </c>
      <c r="I12" s="23">
        <f>1900+193</f>
        <v>2093</v>
      </c>
      <c r="J12" s="19">
        <f t="shared" si="0"/>
        <v>857.78688524590166</v>
      </c>
      <c r="K12" s="26">
        <f t="shared" si="4"/>
        <v>0.18957090163934426</v>
      </c>
      <c r="L12" s="48">
        <f t="shared" si="5"/>
        <v>1532.0073770491804</v>
      </c>
      <c r="M12" s="48">
        <f t="shared" si="6"/>
        <v>2500.4487704918033</v>
      </c>
      <c r="N12" s="18"/>
      <c r="O12" s="18"/>
      <c r="P12" s="18"/>
      <c r="Q12" s="18"/>
      <c r="R12" s="18"/>
      <c r="S12" s="18"/>
      <c r="T12" s="18"/>
      <c r="U12" s="18"/>
    </row>
    <row r="13" spans="1:36">
      <c r="A13" s="18"/>
      <c r="B13" s="18">
        <v>900</v>
      </c>
      <c r="C13" s="18">
        <v>53.6</v>
      </c>
      <c r="D13" s="26">
        <f t="shared" si="1"/>
        <v>8.0469680000000002E-2</v>
      </c>
      <c r="E13" s="40">
        <f t="shared" si="2"/>
        <v>521.99968000000001</v>
      </c>
      <c r="F13" s="40">
        <f t="shared" si="3"/>
        <v>1108.6146959998568</v>
      </c>
      <c r="G13" s="25"/>
      <c r="H13" s="18">
        <v>2.44</v>
      </c>
      <c r="I13" s="23">
        <v>2480</v>
      </c>
      <c r="J13" s="19">
        <f t="shared" si="0"/>
        <v>1016.3934426229508</v>
      </c>
      <c r="K13" s="26">
        <f t="shared" si="4"/>
        <v>0.22462295081967212</v>
      </c>
      <c r="L13" s="48">
        <f t="shared" si="5"/>
        <v>1815.2786885245903</v>
      </c>
      <c r="M13" s="48">
        <f t="shared" si="6"/>
        <v>2962.7868852459019</v>
      </c>
      <c r="N13" s="23"/>
      <c r="O13" s="18"/>
      <c r="P13" s="18"/>
      <c r="Q13" s="18"/>
      <c r="R13" s="18"/>
      <c r="S13" s="18"/>
      <c r="T13" s="18"/>
      <c r="U13" s="18"/>
      <c r="AD13" t="s">
        <v>33</v>
      </c>
      <c r="AE13" s="13">
        <v>27300</v>
      </c>
      <c r="AF13" s="13">
        <v>286</v>
      </c>
      <c r="AG13" s="10">
        <v>828</v>
      </c>
      <c r="AH13" s="13">
        <v>-9150</v>
      </c>
      <c r="AI13" s="47">
        <f>SUM(AE13:AH13)</f>
        <v>19264</v>
      </c>
    </row>
    <row r="14" spans="1:36">
      <c r="A14" s="18"/>
      <c r="B14" s="18">
        <v>1000</v>
      </c>
      <c r="C14" s="18">
        <v>59.6</v>
      </c>
      <c r="D14" s="26">
        <f t="shared" si="1"/>
        <v>8.9477479999999998E-2</v>
      </c>
      <c r="E14" s="40">
        <f t="shared" si="2"/>
        <v>580.43247999999994</v>
      </c>
      <c r="F14" s="40">
        <f t="shared" si="3"/>
        <v>1232.7133559998408</v>
      </c>
      <c r="G14" s="25"/>
      <c r="H14" s="18">
        <v>2.44</v>
      </c>
      <c r="I14" s="23">
        <f>2480+331</f>
        <v>2811</v>
      </c>
      <c r="J14" s="19">
        <f t="shared" si="0"/>
        <v>1152.049180327869</v>
      </c>
      <c r="K14" s="26">
        <f t="shared" si="4"/>
        <v>0.25460286885245903</v>
      </c>
      <c r="L14" s="48">
        <f t="shared" si="5"/>
        <v>2057.559836065574</v>
      </c>
      <c r="M14" s="48">
        <f t="shared" si="6"/>
        <v>3358.2233606557379</v>
      </c>
      <c r="N14" s="18"/>
      <c r="O14" s="18"/>
      <c r="P14" s="18"/>
      <c r="Q14" s="18"/>
      <c r="R14" s="18"/>
      <c r="S14" s="18"/>
      <c r="T14" s="18"/>
      <c r="U14" s="18"/>
      <c r="AE14" s="10"/>
      <c r="AF14" s="10"/>
      <c r="AG14" s="10"/>
      <c r="AH14" s="10"/>
    </row>
    <row r="15" spans="1:36">
      <c r="A15" s="18"/>
      <c r="B15" s="18">
        <v>1050</v>
      </c>
      <c r="C15" s="18">
        <v>62.6</v>
      </c>
      <c r="D15" s="26">
        <f t="shared" si="1"/>
        <v>9.3981379999999989E-2</v>
      </c>
      <c r="E15" s="40">
        <f t="shared" si="2"/>
        <v>609.64887999999996</v>
      </c>
      <c r="F15" s="40">
        <f t="shared" si="3"/>
        <v>1294.7626859998329</v>
      </c>
      <c r="G15" s="25"/>
      <c r="H15" s="18">
        <v>2.44</v>
      </c>
      <c r="I15" s="23">
        <v>2977</v>
      </c>
      <c r="J15" s="19">
        <f t="shared" si="0"/>
        <v>1220.0819672131147</v>
      </c>
      <c r="K15" s="26">
        <f t="shared" si="4"/>
        <v>0.26963811475409832</v>
      </c>
      <c r="L15" s="48">
        <f t="shared" si="5"/>
        <v>2179.0663934426229</v>
      </c>
      <c r="M15" s="48">
        <f t="shared" si="6"/>
        <v>3556.5389344262294</v>
      </c>
      <c r="N15" s="23"/>
      <c r="O15" s="18"/>
      <c r="P15" s="18"/>
      <c r="Q15" s="18"/>
      <c r="R15" s="18"/>
      <c r="S15" s="18"/>
      <c r="T15" s="18"/>
      <c r="U15" s="18"/>
      <c r="AD15" t="s">
        <v>34</v>
      </c>
      <c r="AE15" s="47">
        <f>AE13+AE11</f>
        <v>28380</v>
      </c>
      <c r="AF15" s="47">
        <f>AF13+AF11</f>
        <v>293.11</v>
      </c>
      <c r="AG15" s="47">
        <f>AG13+AG11</f>
        <v>1160</v>
      </c>
      <c r="AH15" s="47">
        <f>AH13+AH11</f>
        <v>-9150.0000000026703</v>
      </c>
      <c r="AI15" s="47">
        <f>SUM(AE15:AH15)</f>
        <v>20683.10999999733</v>
      </c>
    </row>
    <row r="16" spans="1:36">
      <c r="A16" s="18"/>
      <c r="B16" s="18">
        <v>1200</v>
      </c>
      <c r="C16" s="18">
        <v>71.5</v>
      </c>
      <c r="D16" s="26">
        <f t="shared" si="1"/>
        <v>0.10734294999999998</v>
      </c>
      <c r="E16" s="40">
        <f t="shared" si="2"/>
        <v>696.32419999999991</v>
      </c>
      <c r="F16" s="40">
        <f t="shared" si="3"/>
        <v>1478.842364999809</v>
      </c>
      <c r="G16" s="25"/>
      <c r="H16" s="18">
        <v>2.44</v>
      </c>
      <c r="I16" s="23">
        <v>3100</v>
      </c>
      <c r="J16" s="19">
        <f t="shared" si="0"/>
        <v>1270.4918032786886</v>
      </c>
      <c r="K16" s="26">
        <f t="shared" si="4"/>
        <v>0.2807786885245902</v>
      </c>
      <c r="L16" s="48">
        <f t="shared" si="5"/>
        <v>2269.0983606557379</v>
      </c>
      <c r="M16" s="48">
        <f t="shared" si="6"/>
        <v>3703.4836065573777</v>
      </c>
      <c r="N16" s="18"/>
      <c r="O16" s="18"/>
      <c r="P16" s="18"/>
      <c r="Q16" s="18"/>
      <c r="R16" s="18"/>
      <c r="S16" s="18"/>
      <c r="T16" s="18"/>
      <c r="U16" s="18"/>
    </row>
    <row r="17" spans="1:36">
      <c r="A17" s="18"/>
      <c r="B17" s="18">
        <v>1350</v>
      </c>
      <c r="C17" s="18">
        <v>80.5</v>
      </c>
      <c r="D17" s="26">
        <f t="shared" si="1"/>
        <v>0.12085464999999999</v>
      </c>
      <c r="E17" s="40">
        <f t="shared" si="2"/>
        <v>783.97339999999997</v>
      </c>
      <c r="F17" s="40">
        <f t="shared" si="3"/>
        <v>1664.990354999785</v>
      </c>
      <c r="G17" s="25"/>
      <c r="H17" s="18">
        <v>2.44</v>
      </c>
      <c r="I17" s="23">
        <v>4410</v>
      </c>
      <c r="J17" s="19">
        <f t="shared" si="0"/>
        <v>1807.377049180328</v>
      </c>
      <c r="K17" s="26">
        <f t="shared" si="4"/>
        <v>0.39943032786885252</v>
      </c>
      <c r="L17" s="48">
        <f t="shared" si="5"/>
        <v>3227.9754098360659</v>
      </c>
      <c r="M17" s="48">
        <f t="shared" si="6"/>
        <v>5268.5040983606559</v>
      </c>
      <c r="N17" s="18"/>
      <c r="O17" s="18"/>
      <c r="P17" s="18"/>
      <c r="Q17" s="18"/>
      <c r="R17" s="18"/>
      <c r="S17" s="18"/>
      <c r="T17" s="18"/>
      <c r="U17" s="18"/>
      <c r="AE17" s="8"/>
      <c r="AF17" s="12"/>
      <c r="AG17" s="12"/>
      <c r="AH17" s="8"/>
    </row>
    <row r="18" spans="1:36">
      <c r="A18" s="18"/>
      <c r="B18" s="18">
        <v>1400</v>
      </c>
      <c r="C18" s="19">
        <f>80.5+2.97</f>
        <v>83.47</v>
      </c>
      <c r="D18" s="26">
        <f t="shared" si="1"/>
        <v>0.12531351099999999</v>
      </c>
      <c r="E18" s="40">
        <f t="shared" si="2"/>
        <v>812.89763599999992</v>
      </c>
      <c r="F18" s="40">
        <f t="shared" si="3"/>
        <v>1726.4191916997772</v>
      </c>
      <c r="G18" s="25"/>
      <c r="H18" s="18">
        <v>2.44</v>
      </c>
      <c r="I18" s="23">
        <f>4410+102</f>
        <v>4512</v>
      </c>
      <c r="J18" s="19">
        <f t="shared" si="0"/>
        <v>1849.1803278688526</v>
      </c>
      <c r="K18" s="26">
        <f t="shared" si="4"/>
        <v>0.40866885245901641</v>
      </c>
      <c r="L18" s="48">
        <f t="shared" si="5"/>
        <v>3302.6360655737708</v>
      </c>
      <c r="M18" s="48">
        <f t="shared" si="6"/>
        <v>5390.3606557377052</v>
      </c>
      <c r="N18" s="18"/>
      <c r="O18" s="18"/>
      <c r="P18" s="18"/>
      <c r="Q18" s="18"/>
      <c r="R18" s="18"/>
      <c r="S18" s="18"/>
      <c r="T18" s="18"/>
      <c r="U18" s="18"/>
      <c r="AE18" s="8"/>
      <c r="AF18" s="10"/>
      <c r="AG18" s="10"/>
      <c r="AH18" s="8"/>
    </row>
    <row r="19" spans="1:36">
      <c r="A19" s="18"/>
      <c r="B19" s="18">
        <v>1500</v>
      </c>
      <c r="C19" s="18">
        <v>89.4</v>
      </c>
      <c r="D19" s="26">
        <f t="shared" si="1"/>
        <v>0.13421622</v>
      </c>
      <c r="E19" s="40">
        <f t="shared" si="2"/>
        <v>870.64872000000003</v>
      </c>
      <c r="F19" s="40">
        <f t="shared" si="3"/>
        <v>1849.0700339997616</v>
      </c>
      <c r="G19" s="25"/>
      <c r="H19" s="18">
        <v>2.44</v>
      </c>
      <c r="I19" s="23">
        <v>4716</v>
      </c>
      <c r="J19" s="19">
        <f t="shared" si="0"/>
        <v>1932.7868852459017</v>
      </c>
      <c r="K19" s="26">
        <f t="shared" si="4"/>
        <v>0.42714590163934424</v>
      </c>
      <c r="L19" s="48">
        <f t="shared" si="5"/>
        <v>3451.9573770491802</v>
      </c>
      <c r="M19" s="48">
        <f t="shared" si="6"/>
        <v>5634.0737704918029</v>
      </c>
      <c r="N19" s="23"/>
      <c r="O19" s="18"/>
      <c r="P19" s="18"/>
      <c r="Q19" s="18"/>
      <c r="R19" s="18"/>
      <c r="S19" s="18"/>
      <c r="T19" s="18"/>
      <c r="U19" s="18"/>
      <c r="AE19" s="6"/>
      <c r="AF19" s="6"/>
      <c r="AG19" s="6"/>
      <c r="AH19" s="6"/>
      <c r="AI19" s="6"/>
    </row>
    <row r="20" spans="1:36">
      <c r="A20" s="18"/>
      <c r="B20" s="18">
        <v>1600</v>
      </c>
      <c r="C20" s="18">
        <v>95.3</v>
      </c>
      <c r="D20" s="26">
        <f t="shared" si="1"/>
        <v>0.14307388999999998</v>
      </c>
      <c r="E20" s="40">
        <f t="shared" si="2"/>
        <v>928.10763999999995</v>
      </c>
      <c r="F20" s="40">
        <f t="shared" si="3"/>
        <v>1971.1003829997455</v>
      </c>
      <c r="G20" s="25"/>
      <c r="H20" s="18">
        <v>2.44</v>
      </c>
      <c r="I20" s="23">
        <f>4716+1070</f>
        <v>5786</v>
      </c>
      <c r="J20" s="19">
        <f t="shared" si="0"/>
        <v>2371.311475409836</v>
      </c>
      <c r="K20" s="26">
        <f t="shared" si="4"/>
        <v>0.52405983606557371</v>
      </c>
      <c r="L20" s="48">
        <f t="shared" si="5"/>
        <v>4235.1622950819665</v>
      </c>
      <c r="M20" s="48">
        <f t="shared" si="6"/>
        <v>6912.372950819672</v>
      </c>
      <c r="N20" s="18"/>
      <c r="O20" s="18"/>
      <c r="P20" s="18"/>
      <c r="Q20" s="18"/>
      <c r="R20" s="18"/>
      <c r="S20" s="18"/>
      <c r="T20" s="18"/>
      <c r="U20" s="18"/>
    </row>
    <row r="21" spans="1:36">
      <c r="A21" s="18"/>
      <c r="B21" s="18">
        <v>1650</v>
      </c>
      <c r="C21" s="18">
        <v>98.3</v>
      </c>
      <c r="D21" s="26">
        <f t="shared" si="1"/>
        <v>0.14757778999999999</v>
      </c>
      <c r="E21" s="40">
        <f t="shared" si="2"/>
        <v>957.32403999999997</v>
      </c>
      <c r="F21" s="40">
        <f t="shared" si="3"/>
        <v>2033.1497129997376</v>
      </c>
      <c r="G21" s="25"/>
      <c r="H21" s="18">
        <v>2.44</v>
      </c>
      <c r="I21" s="23">
        <v>6321</v>
      </c>
      <c r="J21" s="19">
        <f t="shared" si="0"/>
        <v>2590.5737704918033</v>
      </c>
      <c r="K21" s="26">
        <f t="shared" si="4"/>
        <v>0.57251680327868848</v>
      </c>
      <c r="L21" s="48">
        <f t="shared" si="5"/>
        <v>4626.7647540983608</v>
      </c>
      <c r="M21" s="48">
        <f t="shared" si="6"/>
        <v>7551.5225409836066</v>
      </c>
      <c r="N21" s="23"/>
      <c r="O21" s="18"/>
      <c r="P21" s="18"/>
      <c r="Q21" s="18"/>
      <c r="R21" s="18"/>
      <c r="S21" s="18"/>
      <c r="T21" s="18"/>
      <c r="U21" s="18"/>
      <c r="AE21" s="13"/>
      <c r="AF21" s="13"/>
      <c r="AG21" s="13"/>
      <c r="AH21" s="13"/>
      <c r="AI21" s="7"/>
    </row>
    <row r="22" spans="1:36">
      <c r="A22" s="18"/>
      <c r="B22" s="18">
        <v>1800</v>
      </c>
      <c r="C22" s="18">
        <v>107.3</v>
      </c>
      <c r="D22" s="26">
        <f t="shared" si="1"/>
        <v>0.16108948999999997</v>
      </c>
      <c r="E22" s="40">
        <f t="shared" si="2"/>
        <v>1044.9732399999998</v>
      </c>
      <c r="F22" s="40">
        <f t="shared" si="3"/>
        <v>2219.2977029997132</v>
      </c>
      <c r="G22" s="25"/>
      <c r="H22" s="18">
        <v>2.44</v>
      </c>
      <c r="I22" s="23">
        <v>6564</v>
      </c>
      <c r="J22" s="19">
        <f t="shared" si="0"/>
        <v>2690.1639344262294</v>
      </c>
      <c r="K22" s="26">
        <f t="shared" si="4"/>
        <v>0.59452622950819667</v>
      </c>
      <c r="L22" s="48">
        <f t="shared" si="5"/>
        <v>4804.6327868852459</v>
      </c>
      <c r="M22" s="48">
        <f t="shared" si="6"/>
        <v>7841.8278688524588</v>
      </c>
      <c r="N22" s="18"/>
      <c r="O22" s="18"/>
      <c r="P22" s="18"/>
      <c r="Q22" s="18"/>
      <c r="R22" s="18"/>
      <c r="S22" s="18"/>
      <c r="T22" s="18"/>
      <c r="U22" s="18"/>
    </row>
    <row r="23" spans="1:36" ht="16" thickBot="1">
      <c r="A23" s="18"/>
      <c r="B23" s="18">
        <v>2000</v>
      </c>
      <c r="C23" s="18">
        <v>119.2</v>
      </c>
      <c r="D23" s="26">
        <f t="shared" si="1"/>
        <v>0.17895496</v>
      </c>
      <c r="E23" s="40">
        <f t="shared" si="2"/>
        <v>1160.8649599999999</v>
      </c>
      <c r="F23" s="40">
        <f t="shared" si="3"/>
        <v>2465.4267119996816</v>
      </c>
      <c r="G23" s="25"/>
      <c r="H23" s="18">
        <v>2.44</v>
      </c>
      <c r="I23" s="23">
        <f>6564+1464</f>
        <v>8028</v>
      </c>
      <c r="J23" s="19">
        <f t="shared" si="0"/>
        <v>3290.1639344262294</v>
      </c>
      <c r="K23" s="26">
        <f t="shared" si="4"/>
        <v>0.72712622950819672</v>
      </c>
      <c r="L23" s="48">
        <f t="shared" si="5"/>
        <v>5876.2327868852462</v>
      </c>
      <c r="M23" s="48">
        <f t="shared" si="6"/>
        <v>9590.8278688524588</v>
      </c>
      <c r="N23" s="18"/>
      <c r="O23" s="18"/>
      <c r="P23" s="18"/>
      <c r="Q23" s="18"/>
      <c r="R23" s="18"/>
      <c r="S23" s="18"/>
      <c r="T23" s="18"/>
      <c r="U23" s="18"/>
    </row>
    <row r="24" spans="1:36" ht="16" thickBot="1">
      <c r="A24" s="18"/>
      <c r="B24" s="18">
        <v>2100</v>
      </c>
      <c r="C24" s="18">
        <v>125.2</v>
      </c>
      <c r="D24" s="26">
        <f t="shared" si="1"/>
        <v>0.18796275999999998</v>
      </c>
      <c r="E24" s="40">
        <f t="shared" si="2"/>
        <v>1219.2977599999999</v>
      </c>
      <c r="F24" s="40">
        <f t="shared" si="3"/>
        <v>2589.5253719996658</v>
      </c>
      <c r="G24" s="25"/>
      <c r="H24" s="18">
        <v>2.44</v>
      </c>
      <c r="I24" s="23">
        <v>8760</v>
      </c>
      <c r="J24" s="19">
        <f t="shared" si="0"/>
        <v>3590.1639344262294</v>
      </c>
      <c r="K24" s="26">
        <f t="shared" si="4"/>
        <v>0.79342622950819663</v>
      </c>
      <c r="L24" s="48">
        <f t="shared" si="5"/>
        <v>6412.0327868852455</v>
      </c>
      <c r="M24" s="48">
        <f t="shared" si="6"/>
        <v>10465.327868852459</v>
      </c>
      <c r="N24" s="23"/>
      <c r="O24" s="18"/>
      <c r="P24" s="18"/>
      <c r="Q24" s="18"/>
      <c r="R24" s="18"/>
      <c r="S24" s="18"/>
      <c r="T24" s="18"/>
      <c r="U24" s="18"/>
      <c r="AC24" s="1" t="s">
        <v>2</v>
      </c>
      <c r="AD24" s="1" t="s">
        <v>3</v>
      </c>
      <c r="AE24" s="1" t="s">
        <v>4</v>
      </c>
      <c r="AF24" s="1" t="s">
        <v>5</v>
      </c>
      <c r="AG24" s="1" t="s">
        <v>6</v>
      </c>
      <c r="AH24" s="1" t="s">
        <v>7</v>
      </c>
      <c r="AI24" s="1" t="s">
        <v>11</v>
      </c>
      <c r="AJ24" s="1" t="s">
        <v>10</v>
      </c>
    </row>
    <row r="25" spans="1:36">
      <c r="A25" s="18">
        <v>2.8</v>
      </c>
      <c r="B25" s="18">
        <v>2200</v>
      </c>
      <c r="C25" s="18">
        <v>178.3</v>
      </c>
      <c r="D25" s="26">
        <f t="shared" si="1"/>
        <v>0.26768178999999998</v>
      </c>
      <c r="E25" s="40">
        <f t="shared" si="2"/>
        <v>1736.42804</v>
      </c>
      <c r="F25" s="40">
        <f t="shared" si="3"/>
        <v>3687.7985129995241</v>
      </c>
      <c r="G25" s="25"/>
      <c r="H25" s="18">
        <v>2.44</v>
      </c>
      <c r="I25" s="23">
        <f>8760+834</f>
        <v>9594</v>
      </c>
      <c r="J25" s="19">
        <f t="shared" si="0"/>
        <v>3931.967213114754</v>
      </c>
      <c r="K25" s="26">
        <f t="shared" si="4"/>
        <v>0.8689647540983606</v>
      </c>
      <c r="L25" s="48">
        <f t="shared" si="5"/>
        <v>7022.4934426229511</v>
      </c>
      <c r="M25" s="48">
        <f t="shared" si="6"/>
        <v>11461.684426229509</v>
      </c>
      <c r="N25" s="18"/>
      <c r="O25" s="18"/>
      <c r="P25" s="18"/>
      <c r="Q25" s="18"/>
      <c r="R25" s="18"/>
      <c r="S25" s="18"/>
      <c r="T25" s="18"/>
      <c r="U25" s="18"/>
      <c r="AC25" t="s">
        <v>8</v>
      </c>
      <c r="AD25" t="s">
        <v>12</v>
      </c>
      <c r="AE25" s="8">
        <v>174</v>
      </c>
      <c r="AF25" s="8">
        <v>9</v>
      </c>
      <c r="AG25" s="8">
        <v>38</v>
      </c>
      <c r="AH25" s="8"/>
      <c r="AI25" s="3">
        <f>SUM(AE25:AH25)</f>
        <v>221</v>
      </c>
      <c r="AJ25" s="3">
        <f>AI25/1000</f>
        <v>0.221</v>
      </c>
    </row>
    <row r="26" spans="1:36">
      <c r="A26" s="18"/>
      <c r="B26" s="18">
        <v>2400</v>
      </c>
      <c r="C26" s="18">
        <v>194.5</v>
      </c>
      <c r="D26" s="26">
        <f t="shared" si="1"/>
        <v>0.29200284999999998</v>
      </c>
      <c r="E26" s="40">
        <f t="shared" si="2"/>
        <v>1894.1966</v>
      </c>
      <c r="F26" s="40">
        <f t="shared" si="3"/>
        <v>4022.8648949994808</v>
      </c>
      <c r="G26" s="25"/>
      <c r="H26" s="18">
        <v>2.44</v>
      </c>
      <c r="I26" s="23">
        <v>11261</v>
      </c>
      <c r="J26" s="19">
        <f t="shared" si="0"/>
        <v>4615.1639344262294</v>
      </c>
      <c r="K26" s="26">
        <f t="shared" si="4"/>
        <v>1.0199512295081967</v>
      </c>
      <c r="L26" s="48">
        <f t="shared" si="5"/>
        <v>8242.682786885247</v>
      </c>
      <c r="M26" s="48">
        <f t="shared" si="6"/>
        <v>13453.202868852459</v>
      </c>
      <c r="N26" s="23"/>
      <c r="O26" s="18"/>
      <c r="P26" s="18"/>
      <c r="Q26" s="18"/>
      <c r="R26" s="18"/>
      <c r="S26" s="18"/>
      <c r="T26" s="18"/>
      <c r="U26" s="18"/>
    </row>
    <row r="27" spans="1:36">
      <c r="A27" s="18"/>
      <c r="B27" s="18">
        <v>2600</v>
      </c>
      <c r="C27" s="18">
        <v>210.7</v>
      </c>
      <c r="D27" s="26">
        <f t="shared" si="1"/>
        <v>0.31632390999999999</v>
      </c>
      <c r="E27" s="40">
        <f t="shared" si="2"/>
        <v>2051.9651599999997</v>
      </c>
      <c r="F27" s="40">
        <f t="shared" si="3"/>
        <v>4357.9312769994376</v>
      </c>
      <c r="G27" s="25"/>
      <c r="H27" s="18">
        <v>2.44</v>
      </c>
      <c r="I27" s="23">
        <f>11261+2626</f>
        <v>13887</v>
      </c>
      <c r="J27" s="19">
        <f t="shared" si="0"/>
        <v>5691.3934426229507</v>
      </c>
      <c r="K27" s="26">
        <f t="shared" si="4"/>
        <v>1.2577979508196722</v>
      </c>
      <c r="L27" s="48">
        <f t="shared" si="5"/>
        <v>10164.828688524589</v>
      </c>
      <c r="M27" s="48">
        <f t="shared" si="6"/>
        <v>16590.4118852459</v>
      </c>
      <c r="N27" s="18"/>
      <c r="O27" s="18"/>
      <c r="P27" s="18"/>
      <c r="Q27" s="18"/>
      <c r="R27" s="18"/>
      <c r="S27" s="18"/>
      <c r="T27" s="18"/>
      <c r="U27" s="18"/>
      <c r="AC27" t="s">
        <v>24</v>
      </c>
      <c r="AD27" t="s">
        <v>26</v>
      </c>
      <c r="AE27" s="46">
        <v>1276</v>
      </c>
      <c r="AF27" s="13"/>
      <c r="AG27" s="13">
        <v>510</v>
      </c>
      <c r="AH27" s="9"/>
    </row>
    <row r="28" spans="1:36">
      <c r="A28" s="18" t="s">
        <v>17</v>
      </c>
      <c r="B28" s="18">
        <v>2700</v>
      </c>
      <c r="C28" s="18">
        <v>250</v>
      </c>
      <c r="D28" s="26">
        <f t="shared" si="1"/>
        <v>0.37532499999999996</v>
      </c>
      <c r="E28" s="40">
        <f t="shared" si="2"/>
        <v>2434.6999999999998</v>
      </c>
      <c r="F28" s="40">
        <f t="shared" si="3"/>
        <v>5170.7774999993326</v>
      </c>
      <c r="G28" s="25"/>
      <c r="H28" s="18">
        <v>2.44</v>
      </c>
      <c r="I28" s="23">
        <v>15200</v>
      </c>
      <c r="J28" s="19">
        <f t="shared" si="0"/>
        <v>6229.5081967213118</v>
      </c>
      <c r="K28" s="26">
        <f t="shared" si="4"/>
        <v>1.37672131147541</v>
      </c>
      <c r="L28" s="48">
        <f t="shared" si="5"/>
        <v>11125.901639344263</v>
      </c>
      <c r="M28" s="48">
        <f t="shared" si="6"/>
        <v>18159.016393442624</v>
      </c>
      <c r="N28" s="23"/>
      <c r="O28" s="18"/>
      <c r="P28" s="18"/>
      <c r="Q28" s="18"/>
      <c r="R28" s="18"/>
      <c r="S28" s="18"/>
      <c r="T28" s="18"/>
      <c r="U28" s="18"/>
      <c r="AE28" s="8"/>
      <c r="AF28" s="10"/>
      <c r="AG28" s="10"/>
      <c r="AH28" s="10"/>
    </row>
    <row r="29" spans="1:36">
      <c r="A29" s="18"/>
      <c r="B29" s="18">
        <v>3000</v>
      </c>
      <c r="C29" s="18">
        <v>278</v>
      </c>
      <c r="D29" s="26">
        <f t="shared" si="1"/>
        <v>0.41736139999999999</v>
      </c>
      <c r="E29" s="40">
        <f t="shared" si="2"/>
        <v>2707.3863999999999</v>
      </c>
      <c r="F29" s="40">
        <f t="shared" si="3"/>
        <v>5749.9045799992582</v>
      </c>
      <c r="G29" s="25"/>
      <c r="H29" s="18">
        <v>2.44</v>
      </c>
      <c r="I29" s="23">
        <v>17671</v>
      </c>
      <c r="J29" s="19">
        <f t="shared" si="0"/>
        <v>7242.2131147540986</v>
      </c>
      <c r="K29" s="26">
        <f t="shared" si="4"/>
        <v>1.6005290983606557</v>
      </c>
      <c r="L29" s="48">
        <f t="shared" si="5"/>
        <v>12934.592622950819</v>
      </c>
      <c r="M29" s="48">
        <f t="shared" si="6"/>
        <v>21111.051229508197</v>
      </c>
      <c r="N29" s="18"/>
      <c r="O29" s="18"/>
      <c r="P29" s="18"/>
      <c r="Q29" s="18"/>
      <c r="R29" s="18"/>
      <c r="S29" s="18"/>
      <c r="T29" s="18"/>
      <c r="U29" s="18"/>
      <c r="AE29" s="47">
        <f>AE27</f>
        <v>1276</v>
      </c>
      <c r="AF29" s="47">
        <f t="shared" ref="AF29:AG29" si="8">AF27</f>
        <v>0</v>
      </c>
      <c r="AG29" s="47">
        <f t="shared" si="8"/>
        <v>510</v>
      </c>
      <c r="AH29" s="47"/>
      <c r="AI29" s="47">
        <f>SUM(AE29:AH29)</f>
        <v>1786</v>
      </c>
    </row>
    <row r="30" spans="1:36">
      <c r="A30" s="18"/>
      <c r="B30" s="18">
        <v>3300</v>
      </c>
      <c r="C30" s="18">
        <v>305</v>
      </c>
      <c r="D30" s="26">
        <f t="shared" si="1"/>
        <v>0.45789649999999993</v>
      </c>
      <c r="E30" s="40">
        <f t="shared" si="2"/>
        <v>2970.3339999999998</v>
      </c>
      <c r="F30" s="40">
        <f t="shared" si="3"/>
        <v>6308.3485499991857</v>
      </c>
      <c r="G30" s="25"/>
      <c r="H30" s="25"/>
      <c r="I30" s="25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36">
      <c r="A31" s="18">
        <v>3.5</v>
      </c>
      <c r="B31" s="18">
        <v>3600</v>
      </c>
      <c r="C31" s="18">
        <v>410</v>
      </c>
      <c r="D31" s="26">
        <f t="shared" si="1"/>
        <v>0.61553299999999989</v>
      </c>
      <c r="E31" s="40">
        <f t="shared" si="2"/>
        <v>3992.9079999999994</v>
      </c>
      <c r="F31" s="40">
        <f t="shared" si="3"/>
        <v>8480.075099998905</v>
      </c>
      <c r="G31" s="25"/>
      <c r="H31" s="25"/>
      <c r="I31" s="25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AC31" t="s">
        <v>27</v>
      </c>
      <c r="AD31" t="s">
        <v>29</v>
      </c>
      <c r="AE31" s="46">
        <v>2098</v>
      </c>
      <c r="AF31" s="13">
        <v>141</v>
      </c>
      <c r="AG31" s="13">
        <v>676</v>
      </c>
      <c r="AH31" s="9"/>
      <c r="AI31" s="47">
        <f>SUM(AE31:AH31)</f>
        <v>2915</v>
      </c>
    </row>
    <row r="32" spans="1:3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AC32" t="s">
        <v>28</v>
      </c>
      <c r="AE32" s="8"/>
      <c r="AF32" s="10"/>
      <c r="AG32" s="10"/>
      <c r="AH32" s="10"/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AE33" s="5"/>
      <c r="AF33" s="5"/>
      <c r="AG33" s="5"/>
      <c r="AH33" s="5"/>
      <c r="AI33" s="5"/>
    </row>
    <row r="34" spans="1:35">
      <c r="A34" s="18"/>
      <c r="B34" s="18"/>
      <c r="C34" s="18"/>
      <c r="D34" s="2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AE35" s="15"/>
      <c r="AF35" s="15"/>
      <c r="AG35" s="15"/>
      <c r="AH35" s="11"/>
      <c r="AI35" s="16"/>
    </row>
    <row r="36" spans="1:3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AE36" s="10"/>
      <c r="AF36" s="10"/>
      <c r="AG36" s="10"/>
      <c r="AH36" s="10"/>
    </row>
    <row r="37" spans="1:3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AE37" s="5"/>
      <c r="AF37" s="5"/>
      <c r="AG37" s="5"/>
      <c r="AH37" s="5"/>
      <c r="AI37" s="5"/>
    </row>
    <row r="38" spans="1:3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3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AE39" s="8"/>
      <c r="AF39" s="8"/>
      <c r="AG39" s="8"/>
      <c r="AH39" s="8"/>
      <c r="AI39" s="17"/>
    </row>
    <row r="40" spans="1:3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AE40" s="8"/>
      <c r="AF40" s="10"/>
      <c r="AG40" s="10"/>
      <c r="AH40" s="8"/>
    </row>
    <row r="41" spans="1: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AE41" s="6"/>
      <c r="AF41" s="6"/>
      <c r="AG41" s="6"/>
      <c r="AH41" s="6"/>
      <c r="AI41" s="6"/>
    </row>
    <row r="42" spans="1:3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3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AE43" s="13"/>
      <c r="AF43" s="13"/>
      <c r="AG43" s="13"/>
      <c r="AH43" s="13"/>
      <c r="AI43" s="7"/>
    </row>
    <row r="44" spans="1:3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3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3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3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2:21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2:21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2:2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2:21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2:2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2:21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2:21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2:21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2:21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2:21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2:21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2:21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2:21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2:21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2:21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2:21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2:21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2:21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2:21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2:21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2:21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2:21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2:21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2:21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2:21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2:21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2:21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2:21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2:21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2:21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2:21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2:2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2:21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2:21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</sheetData>
  <sheetProtection selectLockedCells="1" selectUnlockedCells="1"/>
  <mergeCells count="2">
    <mergeCell ref="H1:M1"/>
    <mergeCell ref="A1:F1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Calculations</vt:lpstr>
      <vt:lpstr>Diameter</vt:lpstr>
      <vt:lpstr>Env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Wilcock</dc:creator>
  <cp:lastModifiedBy>Gwen North</cp:lastModifiedBy>
  <dcterms:created xsi:type="dcterms:W3CDTF">2019-10-30T18:27:13Z</dcterms:created>
  <dcterms:modified xsi:type="dcterms:W3CDTF">2021-04-05T13:31:45Z</dcterms:modified>
</cp:coreProperties>
</file>